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filterPrivacy="1" defaultThemeVersion="124226"/>
  <xr:revisionPtr revIDLastSave="0" documentId="13_ncr:1_{C0116AE3-72D1-034A-899D-95466DB23F38}" xr6:coauthVersionLast="47" xr6:coauthVersionMax="47" xr10:uidLastSave="{00000000-0000-0000-0000-000000000000}"/>
  <bookViews>
    <workbookView xWindow="2440" yWindow="500" windowWidth="18660" windowHeight="12320" tabRatio="627" xr2:uid="{00000000-000D-0000-FFFF-FFFF00000000}"/>
  </bookViews>
  <sheets>
    <sheet name="第3回_PL説明用" sheetId="22" r:id="rId1"/>
    <sheet name="第5回_BS説明用" sheetId="23" r:id="rId2"/>
    <sheet name="第5回_シナリオ分析①" sheetId="24" r:id="rId3"/>
    <sheet name="第5回_シナリオ分析②" sheetId="2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25" l="1"/>
  <c r="H4" i="25"/>
  <c r="K6" i="25" s="1"/>
  <c r="D29" i="25"/>
  <c r="M8" i="25" s="1"/>
  <c r="M10" i="25"/>
  <c r="K5" i="25"/>
  <c r="K5" i="23"/>
  <c r="K4" i="23" s="1"/>
  <c r="K12" i="23" s="1"/>
  <c r="M5" i="23"/>
  <c r="K6" i="23"/>
  <c r="M6" i="23"/>
  <c r="K7" i="23"/>
  <c r="M10" i="23"/>
  <c r="M9" i="23" s="1"/>
  <c r="K11" i="23"/>
  <c r="M11" i="23"/>
  <c r="D12" i="23"/>
  <c r="M8" i="23" s="1"/>
  <c r="D15" i="25"/>
  <c r="H13" i="25" s="1"/>
  <c r="H10" i="25"/>
  <c r="K11" i="25" s="1"/>
  <c r="H9" i="25"/>
  <c r="H8" i="25"/>
  <c r="D28" i="24"/>
  <c r="O13" i="24"/>
  <c r="N13" i="24"/>
  <c r="M13" i="24"/>
  <c r="J13" i="24"/>
  <c r="I13" i="24"/>
  <c r="H13" i="24"/>
  <c r="D13" i="24"/>
  <c r="O12" i="24" s="1"/>
  <c r="M12" i="24"/>
  <c r="H11" i="24"/>
  <c r="N10" i="24"/>
  <c r="J10" i="24"/>
  <c r="I10" i="24"/>
  <c r="H10" i="24"/>
  <c r="J9" i="24"/>
  <c r="I9" i="24"/>
  <c r="H9" i="24"/>
  <c r="J8" i="24"/>
  <c r="I8" i="24"/>
  <c r="H8" i="24"/>
  <c r="O7" i="24"/>
  <c r="N7" i="24"/>
  <c r="M7" i="24"/>
  <c r="H6" i="24"/>
  <c r="H12" i="24" s="1"/>
  <c r="H14" i="24" s="1"/>
  <c r="O5" i="24"/>
  <c r="H5" i="24"/>
  <c r="J5" i="24" s="1"/>
  <c r="O4" i="24"/>
  <c r="N4" i="24"/>
  <c r="M4" i="24"/>
  <c r="J4" i="24"/>
  <c r="I4" i="24"/>
  <c r="N5" i="24" s="1"/>
  <c r="H4" i="24"/>
  <c r="M5" i="24" s="1"/>
  <c r="D13" i="22"/>
  <c r="H13" i="22" s="1"/>
  <c r="H10" i="22"/>
  <c r="H9" i="22"/>
  <c r="H8" i="22"/>
  <c r="H4" i="22"/>
  <c r="H11" i="22" s="1"/>
  <c r="M7" i="23" l="1"/>
  <c r="M4" i="23" s="1"/>
  <c r="M12" i="23" s="1"/>
  <c r="H11" i="25"/>
  <c r="H7" i="25" s="1"/>
  <c r="I11" i="24"/>
  <c r="H7" i="22"/>
  <c r="O9" i="24"/>
  <c r="O6" i="24"/>
  <c r="O8" i="24" s="1"/>
  <c r="J6" i="24"/>
  <c r="J12" i="24" s="1"/>
  <c r="J14" i="24" s="1"/>
  <c r="H16" i="24"/>
  <c r="H15" i="24"/>
  <c r="M10" i="24" s="1"/>
  <c r="M9" i="24"/>
  <c r="J11" i="24"/>
  <c r="N12" i="24"/>
  <c r="I5" i="24"/>
  <c r="M6" i="24"/>
  <c r="M8" i="24" s="1"/>
  <c r="H5" i="22"/>
  <c r="H6" i="22" s="1"/>
  <c r="H6" i="25" l="1"/>
  <c r="H12" i="25" s="1"/>
  <c r="H14" i="25" s="1"/>
  <c r="H15" i="25" s="1"/>
  <c r="M5" i="25"/>
  <c r="K7" i="25"/>
  <c r="K4" i="25" s="1"/>
  <c r="K12" i="25" s="1"/>
  <c r="K19" i="25" s="1"/>
  <c r="H12" i="22"/>
  <c r="H14" i="22" s="1"/>
  <c r="H15" i="22" s="1"/>
  <c r="H16" i="22" s="1"/>
  <c r="M15" i="24"/>
  <c r="M21" i="24"/>
  <c r="O15" i="24"/>
  <c r="O21" i="24"/>
  <c r="J15" i="24"/>
  <c r="O10" i="24" s="1"/>
  <c r="J16" i="24"/>
  <c r="M19" i="24"/>
  <c r="M14" i="24"/>
  <c r="M22" i="24" s="1"/>
  <c r="M20" i="24"/>
  <c r="N6" i="24"/>
  <c r="N8" i="24" s="1"/>
  <c r="N9" i="24"/>
  <c r="I6" i="24"/>
  <c r="I12" i="24" s="1"/>
  <c r="I14" i="24" s="1"/>
  <c r="I16" i="24" s="1"/>
  <c r="H16" i="25" l="1"/>
  <c r="M6" i="25"/>
  <c r="N14" i="24"/>
  <c r="N20" i="24"/>
  <c r="N15" i="24"/>
  <c r="N21" i="24"/>
  <c r="O19" i="24"/>
  <c r="O14" i="24"/>
  <c r="O22" i="24" s="1"/>
  <c r="O20" i="24"/>
  <c r="O18" i="24"/>
  <c r="O11" i="24"/>
  <c r="M18" i="24"/>
  <c r="M11" i="24"/>
  <c r="M11" i="25" l="1"/>
  <c r="M9" i="25" s="1"/>
  <c r="M7" i="25" s="1"/>
  <c r="M4" i="25" s="1"/>
  <c r="M12" i="25" s="1"/>
  <c r="K20" i="25" s="1"/>
  <c r="K17" i="25"/>
  <c r="K18" i="25"/>
  <c r="N11" i="24"/>
  <c r="K16" i="25" l="1"/>
</calcChain>
</file>

<file path=xl/sharedStrings.xml><?xml version="1.0" encoding="utf-8"?>
<sst xmlns="http://schemas.openxmlformats.org/spreadsheetml/2006/main" count="281" uniqueCount="79">
  <si>
    <t>年</t>
    <rPh sb="0" eb="1">
      <t>ネン</t>
    </rPh>
    <phoneticPr fontId="1"/>
  </si>
  <si>
    <t>売上</t>
    <rPh sb="0" eb="2">
      <t>ウリアゲ</t>
    </rPh>
    <phoneticPr fontId="1"/>
  </si>
  <si>
    <t>固定資産</t>
    <rPh sb="0" eb="2">
      <t>コテイ</t>
    </rPh>
    <rPh sb="2" eb="4">
      <t>シサン</t>
    </rPh>
    <phoneticPr fontId="1"/>
  </si>
  <si>
    <t>資本金</t>
  </si>
  <si>
    <t>棚卸資産</t>
    <rPh sb="0" eb="4">
      <t>タナオロシシサン</t>
    </rPh>
    <phoneticPr fontId="1"/>
  </si>
  <si>
    <t>PLUG</t>
    <phoneticPr fontId="1"/>
  </si>
  <si>
    <t>売上総利益</t>
  </si>
  <si>
    <t>営業利益</t>
  </si>
  <si>
    <t>前提</t>
    <rPh sb="0" eb="2">
      <t>ゼンテイ</t>
    </rPh>
    <phoneticPr fontId="1"/>
  </si>
  <si>
    <t>初年度出店店舗数</t>
    <rPh sb="0" eb="3">
      <t>ショネンド</t>
    </rPh>
    <rPh sb="3" eb="5">
      <t>シュッテン</t>
    </rPh>
    <rPh sb="5" eb="8">
      <t>テンポスウ</t>
    </rPh>
    <phoneticPr fontId="1"/>
  </si>
  <si>
    <t>店舗</t>
    <rPh sb="0" eb="2">
      <t>テンポ</t>
    </rPh>
    <phoneticPr fontId="1"/>
  </si>
  <si>
    <t>(単位: 円)</t>
    <rPh sb="1" eb="3">
      <t>タンイ</t>
    </rPh>
    <rPh sb="5" eb="6">
      <t>エン</t>
    </rPh>
    <phoneticPr fontId="1"/>
  </si>
  <si>
    <t>1店舗あたり予測月次売上高</t>
    <rPh sb="1" eb="3">
      <t>テンポ</t>
    </rPh>
    <rPh sb="6" eb="8">
      <t>ヨソク</t>
    </rPh>
    <rPh sb="8" eb="10">
      <t>ゲツジ</t>
    </rPh>
    <rPh sb="10" eb="12">
      <t>ウリアゲ</t>
    </rPh>
    <rPh sb="12" eb="13">
      <t>ダカ</t>
    </rPh>
    <phoneticPr fontId="1"/>
  </si>
  <si>
    <t>円</t>
    <rPh sb="0" eb="1">
      <t>エン</t>
    </rPh>
    <phoneticPr fontId="1"/>
  </si>
  <si>
    <t>売上</t>
    <phoneticPr fontId="1"/>
  </si>
  <si>
    <t>1年の月数</t>
    <rPh sb="1" eb="2">
      <t>ネン</t>
    </rPh>
    <rPh sb="3" eb="5">
      <t>ツキスウ</t>
    </rPh>
    <phoneticPr fontId="1"/>
  </si>
  <si>
    <t>ヵ月</t>
    <rPh sb="1" eb="2">
      <t>ゲツ</t>
    </rPh>
    <phoneticPr fontId="1"/>
  </si>
  <si>
    <t>生花仕入値 (対売価)</t>
    <rPh sb="0" eb="2">
      <t>セイカ</t>
    </rPh>
    <rPh sb="2" eb="5">
      <t>シイレネ</t>
    </rPh>
    <rPh sb="7" eb="8">
      <t>タイ</t>
    </rPh>
    <rPh sb="8" eb="10">
      <t>バイカ</t>
    </rPh>
    <phoneticPr fontId="1"/>
  </si>
  <si>
    <t>消耗材仕入値 (対売価)</t>
    <rPh sb="0" eb="3">
      <t>ショウモウザイ</t>
    </rPh>
    <rPh sb="3" eb="6">
      <t>シイレネ</t>
    </rPh>
    <rPh sb="8" eb="9">
      <t>タイ</t>
    </rPh>
    <rPh sb="9" eb="11">
      <t>バイカ</t>
    </rPh>
    <phoneticPr fontId="1"/>
  </si>
  <si>
    <t xml:space="preserve"> 販管費:   </t>
  </si>
  <si>
    <t>1店舗あたり人件費</t>
    <rPh sb="1" eb="3">
      <t>テンポ</t>
    </rPh>
    <rPh sb="6" eb="9">
      <t>ジンケンヒ</t>
    </rPh>
    <phoneticPr fontId="1"/>
  </si>
  <si>
    <t>人件費</t>
  </si>
  <si>
    <t>1店舗あたり賃料</t>
    <rPh sb="1" eb="3">
      <t>テンポ</t>
    </rPh>
    <rPh sb="6" eb="8">
      <t>チンリョウ</t>
    </rPh>
    <phoneticPr fontId="1"/>
  </si>
  <si>
    <t>賃料</t>
  </si>
  <si>
    <t>1店舗あたり設備投資</t>
    <rPh sb="1" eb="3">
      <t>テンポ</t>
    </rPh>
    <rPh sb="6" eb="10">
      <t>セツビトウシ</t>
    </rPh>
    <phoneticPr fontId="1"/>
  </si>
  <si>
    <t>減価償却費</t>
  </si>
  <si>
    <t>減価償却年数</t>
    <rPh sb="0" eb="6">
      <t>ゲンカショウキャクネンスウ</t>
    </rPh>
    <phoneticPr fontId="1"/>
  </si>
  <si>
    <t>業務委託費 (対売価)</t>
    <rPh sb="0" eb="2">
      <t>ギョウム</t>
    </rPh>
    <rPh sb="2" eb="4">
      <t>イタク</t>
    </rPh>
    <rPh sb="4" eb="5">
      <t>ヒ</t>
    </rPh>
    <rPh sb="7" eb="8">
      <t>タイ</t>
    </rPh>
    <rPh sb="8" eb="10">
      <t>バイカ</t>
    </rPh>
    <phoneticPr fontId="1"/>
  </si>
  <si>
    <t>法人税税率</t>
    <rPh sb="0" eb="3">
      <t>ホウジンゼイ</t>
    </rPh>
    <rPh sb="3" eb="5">
      <t>ゼイリツ</t>
    </rPh>
    <phoneticPr fontId="1"/>
  </si>
  <si>
    <t>当期純利益</t>
    <rPh sb="0" eb="5">
      <t>トウキジュンリエキ</t>
    </rPh>
    <phoneticPr fontId="1"/>
  </si>
  <si>
    <t>未払税金</t>
    <rPh sb="0" eb="2">
      <t>ミバライ</t>
    </rPh>
    <rPh sb="2" eb="4">
      <t>ゼイキン</t>
    </rPh>
    <phoneticPr fontId="1"/>
  </si>
  <si>
    <t>短期借入金</t>
    <rPh sb="0" eb="2">
      <t>タンキ</t>
    </rPh>
    <rPh sb="2" eb="5">
      <t>カリイレキン</t>
    </rPh>
    <phoneticPr fontId="1"/>
  </si>
  <si>
    <t>長期借入金</t>
    <rPh sb="0" eb="5">
      <t>チョウキカリイレキン</t>
    </rPh>
    <phoneticPr fontId="1"/>
  </si>
  <si>
    <t>日分</t>
    <rPh sb="0" eb="2">
      <t>ニチブン</t>
    </rPh>
    <phoneticPr fontId="1"/>
  </si>
  <si>
    <t xml:space="preserve">日分 </t>
    <rPh sb="0" eb="2">
      <t>ニチブン</t>
    </rPh>
    <phoneticPr fontId="1"/>
  </si>
  <si>
    <t>支払利息</t>
    <rPh sb="0" eb="4">
      <t>シハライリソク</t>
    </rPh>
    <phoneticPr fontId="1"/>
  </si>
  <si>
    <t>支払利息 (長期借入)</t>
    <rPh sb="0" eb="4">
      <t>シハライリソク</t>
    </rPh>
    <rPh sb="6" eb="10">
      <t>チョウキカリイレ</t>
    </rPh>
    <phoneticPr fontId="1"/>
  </si>
  <si>
    <t>経常利益</t>
    <rPh sb="0" eb="4">
      <t>ケイジョウリエキ</t>
    </rPh>
    <phoneticPr fontId="1"/>
  </si>
  <si>
    <t>長期借入 (設備投資2/3を2年借入)</t>
    <rPh sb="0" eb="2">
      <t>チョウキ</t>
    </rPh>
    <rPh sb="2" eb="4">
      <t>カリイレ</t>
    </rPh>
    <rPh sb="6" eb="10">
      <t>セツビトウシ</t>
    </rPh>
    <rPh sb="15" eb="16">
      <t>ネン</t>
    </rPh>
    <rPh sb="16" eb="18">
      <t>カリイレ</t>
    </rPh>
    <phoneticPr fontId="1"/>
  </si>
  <si>
    <t>ヵ月分売上</t>
    <rPh sb="1" eb="2">
      <t>ゲツ</t>
    </rPh>
    <rPh sb="2" eb="3">
      <t>ブン</t>
    </rPh>
    <rPh sb="3" eb="5">
      <t>ウリアゲ</t>
    </rPh>
    <phoneticPr fontId="1"/>
  </si>
  <si>
    <t>売上債権</t>
    <rPh sb="0" eb="4">
      <t>ウリアゲサイケン</t>
    </rPh>
    <phoneticPr fontId="1"/>
  </si>
  <si>
    <t>仕入債務</t>
    <rPh sb="0" eb="4">
      <t>シイレサイム</t>
    </rPh>
    <phoneticPr fontId="1"/>
  </si>
  <si>
    <t>最低現金</t>
    <rPh sb="0" eb="4">
      <t>サイテイゲンキン</t>
    </rPh>
    <phoneticPr fontId="1"/>
  </si>
  <si>
    <t>売上債権期間</t>
    <rPh sb="0" eb="2">
      <t>ウリアゲ</t>
    </rPh>
    <rPh sb="2" eb="4">
      <t>サイケン</t>
    </rPh>
    <rPh sb="4" eb="6">
      <t>キカン</t>
    </rPh>
    <phoneticPr fontId="1"/>
  </si>
  <si>
    <t>棚卸資産回転期間</t>
    <rPh sb="0" eb="4">
      <t>タナオロシシサン</t>
    </rPh>
    <rPh sb="4" eb="8">
      <t>カイテンキカン</t>
    </rPh>
    <phoneticPr fontId="1"/>
  </si>
  <si>
    <t>仕入債務回転期間</t>
    <rPh sb="0" eb="4">
      <t>シイレサイム</t>
    </rPh>
    <rPh sb="4" eb="8">
      <t>カイテンキカン</t>
    </rPh>
    <phoneticPr fontId="1"/>
  </si>
  <si>
    <t>ROE</t>
    <phoneticPr fontId="1"/>
  </si>
  <si>
    <t>ROA</t>
    <phoneticPr fontId="1"/>
  </si>
  <si>
    <t>総資産回転率</t>
    <rPh sb="0" eb="6">
      <t>ソウシサンカイテンリツ</t>
    </rPh>
    <phoneticPr fontId="1"/>
  </si>
  <si>
    <t>財務レバレッジ</t>
    <rPh sb="0" eb="2">
      <t>ザイム</t>
    </rPh>
    <phoneticPr fontId="1"/>
  </si>
  <si>
    <t>売上高当期純利益率</t>
    <rPh sb="0" eb="3">
      <t>ウリアゲダカ</t>
    </rPh>
    <rPh sb="3" eb="8">
      <t>トウキジュンリエキ</t>
    </rPh>
    <rPh sb="8" eb="9">
      <t>リツ</t>
    </rPh>
    <phoneticPr fontId="1"/>
  </si>
  <si>
    <t>【財務指標】</t>
    <rPh sb="1" eb="5">
      <t>ザイムシヒョウ</t>
    </rPh>
    <phoneticPr fontId="1"/>
  </si>
  <si>
    <t>悲観シナリオ</t>
    <rPh sb="0" eb="2">
      <t>ヒカン</t>
    </rPh>
    <phoneticPr fontId="1"/>
  </si>
  <si>
    <t>楽観シナリオ</t>
    <rPh sb="0" eb="2">
      <t>ラッカン</t>
    </rPh>
    <phoneticPr fontId="1"/>
  </si>
  <si>
    <t>-</t>
    <phoneticPr fontId="1"/>
  </si>
  <si>
    <t>ベース</t>
    <phoneticPr fontId="1"/>
  </si>
  <si>
    <t>1年の営業日数</t>
    <rPh sb="1" eb="2">
      <t>ネン</t>
    </rPh>
    <rPh sb="3" eb="7">
      <t>エイギョウニッスウ</t>
    </rPh>
    <phoneticPr fontId="1"/>
  </si>
  <si>
    <t>日</t>
    <rPh sb="0" eb="1">
      <t>ニチ</t>
    </rPh>
    <phoneticPr fontId="1"/>
  </si>
  <si>
    <t>業務委託費 (対売上)</t>
    <rPh sb="0" eb="2">
      <t>ギョウム</t>
    </rPh>
    <rPh sb="2" eb="4">
      <t>イタク</t>
    </rPh>
    <rPh sb="4" eb="5">
      <t>ヒ</t>
    </rPh>
    <rPh sb="7" eb="8">
      <t>タイ</t>
    </rPh>
    <rPh sb="8" eb="10">
      <t>ウリアゲ</t>
    </rPh>
    <phoneticPr fontId="1"/>
  </si>
  <si>
    <t>※ 悲観楽観は売価が上下した場合を想定しています</t>
    <rPh sb="2" eb="4">
      <t>ヒカン</t>
    </rPh>
    <rPh sb="4" eb="6">
      <t>ラッカン</t>
    </rPh>
    <rPh sb="7" eb="9">
      <t>バイカ</t>
    </rPh>
    <rPh sb="10" eb="12">
      <t>ジョウゲ</t>
    </rPh>
    <rPh sb="14" eb="16">
      <t>バアイ</t>
    </rPh>
    <rPh sb="17" eb="19">
      <t>ソウテイ</t>
    </rPh>
    <phoneticPr fontId="1"/>
  </si>
  <si>
    <t>※ 税効果は考えず損失の場合は税金無しとしています</t>
    <rPh sb="2" eb="5">
      <t>ゼイコウカ</t>
    </rPh>
    <rPh sb="6" eb="7">
      <t>カンガ</t>
    </rPh>
    <rPh sb="9" eb="11">
      <t>ソンシツ</t>
    </rPh>
    <rPh sb="12" eb="14">
      <t>バアイ</t>
    </rPh>
    <rPh sb="15" eb="17">
      <t>ゼイキン</t>
    </rPh>
    <rPh sb="17" eb="18">
      <t>ナシ</t>
    </rPh>
    <phoneticPr fontId="1"/>
  </si>
  <si>
    <t>合計</t>
    <rPh sb="0" eb="2">
      <t>ゴウケイ</t>
    </rPh>
    <phoneticPr fontId="1"/>
  </si>
  <si>
    <t xml:space="preserve">資産: </t>
    <rPh sb="0" eb="2">
      <t>シサン</t>
    </rPh>
    <phoneticPr fontId="1"/>
  </si>
  <si>
    <t xml:space="preserve">負債: </t>
    <rPh sb="0" eb="2">
      <t>フサイ</t>
    </rPh>
    <phoneticPr fontId="1"/>
  </si>
  <si>
    <t xml:space="preserve">純資産: </t>
    <rPh sb="0" eb="3">
      <t>ジュンシサン</t>
    </rPh>
    <phoneticPr fontId="1"/>
  </si>
  <si>
    <t>業務委託費</t>
    <phoneticPr fontId="1"/>
  </si>
  <si>
    <t>法人税等</t>
    <rPh sb="0" eb="3">
      <t>ホウジンゼイトウ</t>
    </rPh>
    <phoneticPr fontId="1"/>
  </si>
  <si>
    <t>ベースケースからの売上の乖離</t>
    <rPh sb="9" eb="10">
      <t>ウ</t>
    </rPh>
    <rPh sb="10" eb="11">
      <t>ア</t>
    </rPh>
    <rPh sb="12" eb="14">
      <t>カイリ</t>
    </rPh>
    <phoneticPr fontId="1"/>
  </si>
  <si>
    <t>予測財務諸表　シナリオ分析</t>
    <rPh sb="0" eb="6">
      <t>ヨソクザイムショヒョウ</t>
    </rPh>
    <rPh sb="11" eb="13">
      <t>ブンセキ</t>
    </rPh>
    <phoneticPr fontId="1"/>
  </si>
  <si>
    <t>予測財務諸表　P/Lの作成</t>
    <rPh sb="0" eb="6">
      <t>ヨソクザイムショヒョウ</t>
    </rPh>
    <rPh sb="11" eb="13">
      <t>サクセイ</t>
    </rPh>
    <phoneticPr fontId="1"/>
  </si>
  <si>
    <t>予測P/L</t>
    <rPh sb="0" eb="2">
      <t>ヨソク</t>
    </rPh>
    <phoneticPr fontId="1"/>
  </si>
  <si>
    <t>予測財務諸表　B/Sの作成</t>
    <rPh sb="0" eb="6">
      <t>ヨソクザイムショヒョウ</t>
    </rPh>
    <rPh sb="11" eb="13">
      <t>サクセイ</t>
    </rPh>
    <phoneticPr fontId="1"/>
  </si>
  <si>
    <t>既作成 予測P/L</t>
    <rPh sb="0" eb="1">
      <t>スデ</t>
    </rPh>
    <rPh sb="1" eb="3">
      <t>サクセイ</t>
    </rPh>
    <rPh sb="4" eb="6">
      <t>ヨソク</t>
    </rPh>
    <phoneticPr fontId="1"/>
  </si>
  <si>
    <t>予測B/S</t>
    <rPh sb="0" eb="2">
      <t>ヨソク</t>
    </rPh>
    <phoneticPr fontId="1"/>
  </si>
  <si>
    <t>【予測P/L】</t>
    <rPh sb="1" eb="3">
      <t>ヨソク</t>
    </rPh>
    <phoneticPr fontId="1"/>
  </si>
  <si>
    <t>【予測B/S】</t>
    <rPh sb="1" eb="3">
      <t>ヨソク</t>
    </rPh>
    <phoneticPr fontId="1"/>
  </si>
  <si>
    <t>利益剰余金</t>
    <rPh sb="0" eb="2">
      <t>リエキ</t>
    </rPh>
    <rPh sb="2" eb="5">
      <t>ジョウヨキン</t>
    </rPh>
    <phoneticPr fontId="1"/>
  </si>
  <si>
    <t>現金及び預金</t>
    <phoneticPr fontId="1"/>
  </si>
  <si>
    <t xml:space="preserve"> 売上原価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</si>
</sst>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.0%"/>
    <numFmt numFmtId="177" formatCode="#,##0.0;[Red]\-#,##0.0"/>
    <numFmt numFmtId="178" formatCode="&quot;+&quot;0%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3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38" fontId="3" fillId="0" borderId="2" xfId="1" applyFont="1" applyBorder="1">
      <alignment vertical="center"/>
    </xf>
    <xf numFmtId="0" fontId="6" fillId="0" borderId="0" xfId="0" applyFont="1">
      <alignment vertical="center"/>
    </xf>
    <xf numFmtId="38" fontId="3" fillId="0" borderId="0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2" borderId="0" xfId="1" applyFont="1" applyFill="1" applyBorder="1">
      <alignment vertical="center"/>
    </xf>
    <xf numFmtId="38" fontId="3" fillId="2" borderId="2" xfId="1" applyFont="1" applyFill="1" applyBorder="1">
      <alignment vertical="center"/>
    </xf>
    <xf numFmtId="38" fontId="3" fillId="2" borderId="0" xfId="1" applyFont="1" applyFill="1">
      <alignment vertical="center"/>
    </xf>
    <xf numFmtId="38" fontId="3" fillId="0" borderId="0" xfId="1" applyFont="1" applyFill="1" applyBorder="1">
      <alignment vertical="center"/>
    </xf>
    <xf numFmtId="38" fontId="3" fillId="2" borderId="0" xfId="0" applyNumberFormat="1" applyFont="1" applyFill="1">
      <alignment vertical="center"/>
    </xf>
    <xf numFmtId="0" fontId="3" fillId="0" borderId="0" xfId="0" quotePrefix="1" applyFont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6" xfId="0" applyFont="1" applyFill="1" applyBorder="1">
      <alignment vertical="center"/>
    </xf>
    <xf numFmtId="9" fontId="3" fillId="2" borderId="0" xfId="3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2" xfId="0" applyFont="1" applyFill="1" applyBorder="1">
      <alignment vertical="center"/>
    </xf>
    <xf numFmtId="9" fontId="3" fillId="2" borderId="2" xfId="0" applyNumberFormat="1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0" xfId="0" applyFont="1" applyFill="1" applyAlignment="1">
      <alignment horizontal="right" vertical="center"/>
    </xf>
    <xf numFmtId="0" fontId="5" fillId="0" borderId="0" xfId="2" applyFont="1" applyFill="1" applyBorder="1">
      <alignment vertical="center"/>
    </xf>
    <xf numFmtId="9" fontId="3" fillId="2" borderId="0" xfId="3" applyFont="1" applyFill="1">
      <alignment vertical="center"/>
    </xf>
    <xf numFmtId="176" fontId="3" fillId="2" borderId="0" xfId="3" applyNumberFormat="1" applyFont="1" applyFill="1">
      <alignment vertical="center"/>
    </xf>
    <xf numFmtId="177" fontId="3" fillId="2" borderId="0" xfId="1" applyNumberFormat="1" applyFont="1" applyFill="1">
      <alignment vertical="center"/>
    </xf>
    <xf numFmtId="38" fontId="3" fillId="2" borderId="12" xfId="1" applyFont="1" applyFill="1" applyBorder="1">
      <alignment vertical="center"/>
    </xf>
    <xf numFmtId="38" fontId="3" fillId="2" borderId="15" xfId="1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6" fillId="0" borderId="13" xfId="0" applyFont="1" applyBorder="1">
      <alignment vertical="center"/>
    </xf>
    <xf numFmtId="0" fontId="6" fillId="0" borderId="9" xfId="0" applyFont="1" applyBorder="1">
      <alignment vertical="center"/>
    </xf>
    <xf numFmtId="38" fontId="6" fillId="0" borderId="14" xfId="1" applyFont="1" applyBorder="1">
      <alignment vertical="center"/>
    </xf>
    <xf numFmtId="0" fontId="3" fillId="0" borderId="1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38" fontId="3" fillId="0" borderId="11" xfId="1" applyFont="1" applyBorder="1" applyAlignment="1">
      <alignment horizontal="left" vertical="center" indent="1"/>
    </xf>
    <xf numFmtId="38" fontId="3" fillId="0" borderId="0" xfId="1" applyFont="1" applyBorder="1" applyAlignment="1">
      <alignment horizontal="left" vertical="center" indent="1"/>
    </xf>
    <xf numFmtId="38" fontId="3" fillId="0" borderId="14" xfId="1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177" fontId="3" fillId="0" borderId="0" xfId="1" applyNumberFormat="1" applyFont="1">
      <alignment vertical="center"/>
    </xf>
    <xf numFmtId="9" fontId="3" fillId="0" borderId="0" xfId="3" applyFont="1">
      <alignment vertical="center"/>
    </xf>
    <xf numFmtId="41" fontId="3" fillId="0" borderId="0" xfId="1" applyNumberFormat="1" applyFont="1">
      <alignment vertical="center"/>
    </xf>
    <xf numFmtId="176" fontId="3" fillId="2" borderId="0" xfId="3" applyNumberFormat="1" applyFont="1" applyFill="1" applyAlignment="1">
      <alignment horizontal="right" vertical="center"/>
    </xf>
    <xf numFmtId="9" fontId="3" fillId="2" borderId="0" xfId="3" applyFont="1" applyFill="1" applyAlignment="1">
      <alignment horizontal="right" vertical="center"/>
    </xf>
    <xf numFmtId="38" fontId="6" fillId="2" borderId="0" xfId="1" applyFont="1" applyFill="1">
      <alignment vertical="center"/>
    </xf>
    <xf numFmtId="38" fontId="6" fillId="2" borderId="0" xfId="1" applyFont="1" applyFill="1" applyBorder="1">
      <alignment vertical="center"/>
    </xf>
    <xf numFmtId="38" fontId="6" fillId="2" borderId="0" xfId="0" applyNumberFormat="1" applyFont="1" applyFill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3" fillId="0" borderId="2" xfId="0" quotePrefix="1" applyFont="1" applyBorder="1" applyAlignment="1">
      <alignment horizontal="left" vertical="center" indent="2"/>
    </xf>
    <xf numFmtId="0" fontId="6" fillId="0" borderId="2" xfId="0" quotePrefix="1" applyFont="1" applyBorder="1" applyAlignment="1">
      <alignment horizontal="left" vertical="center"/>
    </xf>
    <xf numFmtId="38" fontId="6" fillId="2" borderId="2" xfId="1" applyFont="1" applyFill="1" applyBorder="1">
      <alignment vertical="center"/>
    </xf>
    <xf numFmtId="38" fontId="6" fillId="2" borderId="10" xfId="0" applyNumberFormat="1" applyFont="1" applyFill="1" applyBorder="1">
      <alignment vertical="center"/>
    </xf>
    <xf numFmtId="38" fontId="6" fillId="2" borderId="15" xfId="1" applyFont="1" applyFill="1" applyBorder="1">
      <alignment vertical="center"/>
    </xf>
    <xf numFmtId="38" fontId="6" fillId="2" borderId="12" xfId="1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17" xfId="0" applyFont="1" applyFill="1" applyBorder="1">
      <alignment vertical="center"/>
    </xf>
    <xf numFmtId="9" fontId="6" fillId="2" borderId="18" xfId="0" applyNumberFormat="1" applyFont="1" applyFill="1" applyBorder="1">
      <alignment vertical="center"/>
    </xf>
    <xf numFmtId="0" fontId="3" fillId="0" borderId="1" xfId="0" applyFont="1" applyBorder="1">
      <alignment vertical="center"/>
    </xf>
    <xf numFmtId="9" fontId="3" fillId="2" borderId="4" xfId="3" applyFont="1" applyFill="1" applyBorder="1">
      <alignment vertical="center"/>
    </xf>
    <xf numFmtId="0" fontId="3" fillId="0" borderId="5" xfId="0" applyFont="1" applyBorder="1">
      <alignment vertical="center"/>
    </xf>
    <xf numFmtId="176" fontId="3" fillId="2" borderId="6" xfId="3" applyNumberFormat="1" applyFont="1" applyFill="1" applyBorder="1">
      <alignment vertical="center"/>
    </xf>
    <xf numFmtId="177" fontId="3" fillId="2" borderId="6" xfId="1" applyNumberFormat="1" applyFont="1" applyFill="1" applyBorder="1">
      <alignment vertical="center"/>
    </xf>
    <xf numFmtId="0" fontId="3" fillId="0" borderId="7" xfId="0" applyFont="1" applyBorder="1">
      <alignment vertical="center"/>
    </xf>
    <xf numFmtId="177" fontId="3" fillId="2" borderId="8" xfId="1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9" fontId="6" fillId="2" borderId="7" xfId="0" applyNumberFormat="1" applyFont="1" applyFill="1" applyBorder="1" applyAlignment="1">
      <alignment horizontal="center" vertical="center"/>
    </xf>
    <xf numFmtId="178" fontId="6" fillId="2" borderId="8" xfId="0" applyNumberFormat="1" applyFont="1" applyFill="1" applyBorder="1" applyAlignment="1">
      <alignment horizontal="center" vertical="center"/>
    </xf>
  </cellXfs>
  <cellStyles count="4">
    <cellStyle name="パーセント" xfId="3" builtinId="5"/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2801C-F490-42D3-AEBE-107D1008F839}">
  <dimension ref="A1:H20"/>
  <sheetViews>
    <sheetView tabSelected="1" zoomScale="80" zoomScaleNormal="80" workbookViewId="0"/>
  </sheetViews>
  <sheetFormatPr baseColWidth="10" defaultColWidth="8.83203125" defaultRowHeight="19"/>
  <cols>
    <col min="1" max="1" width="3.83203125" style="1" customWidth="1"/>
    <col min="2" max="2" width="6" style="1" customWidth="1"/>
    <col min="3" max="3" width="35.1640625" style="1" customWidth="1"/>
    <col min="4" max="4" width="14.6640625" style="1" bestFit="1" customWidth="1"/>
    <col min="5" max="5" width="12.83203125" style="1" customWidth="1"/>
    <col min="6" max="6" width="6.1640625" style="1" customWidth="1"/>
    <col min="7" max="7" width="19.5" style="1" customWidth="1"/>
    <col min="8" max="8" width="17.83203125" style="1" customWidth="1"/>
    <col min="9" max="9" width="48.33203125" style="1" customWidth="1"/>
    <col min="10" max="10" width="14.83203125" style="1" customWidth="1"/>
    <col min="11" max="11" width="12.1640625" style="1" customWidth="1"/>
    <col min="12" max="16384" width="8.83203125" style="1"/>
  </cols>
  <sheetData>
    <row r="1" spans="1:8">
      <c r="A1" s="6" t="s">
        <v>69</v>
      </c>
    </row>
    <row r="3" spans="1:8">
      <c r="B3" s="45" t="s">
        <v>8</v>
      </c>
      <c r="C3" s="17" t="s">
        <v>9</v>
      </c>
      <c r="D3" s="17">
        <v>10</v>
      </c>
      <c r="E3" s="18" t="s">
        <v>10</v>
      </c>
      <c r="G3" s="1" t="s">
        <v>11</v>
      </c>
      <c r="H3" s="44" t="s">
        <v>70</v>
      </c>
    </row>
    <row r="4" spans="1:8">
      <c r="B4" s="19"/>
      <c r="C4" s="20" t="s">
        <v>12</v>
      </c>
      <c r="D4" s="10">
        <v>1000000</v>
      </c>
      <c r="E4" s="21" t="s">
        <v>13</v>
      </c>
      <c r="G4" s="54" t="s">
        <v>14</v>
      </c>
      <c r="H4" s="52">
        <f>D4*D5*D3</f>
        <v>120000000</v>
      </c>
    </row>
    <row r="5" spans="1:8">
      <c r="B5" s="19"/>
      <c r="C5" s="20" t="s">
        <v>15</v>
      </c>
      <c r="D5" s="10">
        <v>12</v>
      </c>
      <c r="E5" s="21" t="s">
        <v>16</v>
      </c>
      <c r="G5" s="58" t="s">
        <v>78</v>
      </c>
      <c r="H5" s="59">
        <f>H4*(D6+D7)</f>
        <v>48000000</v>
      </c>
    </row>
    <row r="6" spans="1:8">
      <c r="B6" s="19"/>
      <c r="C6" s="20" t="s">
        <v>17</v>
      </c>
      <c r="D6" s="22">
        <v>0.3</v>
      </c>
      <c r="E6" s="21"/>
      <c r="G6" s="54" t="s">
        <v>6</v>
      </c>
      <c r="H6" s="51">
        <f>H4-H5</f>
        <v>72000000</v>
      </c>
    </row>
    <row r="7" spans="1:8">
      <c r="B7" s="19"/>
      <c r="C7" s="20" t="s">
        <v>18</v>
      </c>
      <c r="D7" s="22">
        <v>0.1</v>
      </c>
      <c r="E7" s="21"/>
      <c r="G7" s="54" t="s">
        <v>19</v>
      </c>
      <c r="H7" s="51">
        <f>SUM(H8:H11)</f>
        <v>69000000</v>
      </c>
    </row>
    <row r="8" spans="1:8">
      <c r="B8" s="19"/>
      <c r="C8" s="20" t="s">
        <v>20</v>
      </c>
      <c r="D8" s="10">
        <v>3000000</v>
      </c>
      <c r="E8" s="21" t="s">
        <v>13</v>
      </c>
      <c r="G8" s="55" t="s">
        <v>21</v>
      </c>
      <c r="H8" s="12">
        <f>D8*D3</f>
        <v>30000000</v>
      </c>
    </row>
    <row r="9" spans="1:8">
      <c r="B9" s="19"/>
      <c r="C9" s="20" t="s">
        <v>22</v>
      </c>
      <c r="D9" s="10">
        <v>2400000</v>
      </c>
      <c r="E9" s="21" t="s">
        <v>13</v>
      </c>
      <c r="G9" s="55" t="s">
        <v>23</v>
      </c>
      <c r="H9" s="12">
        <f>D9*D3</f>
        <v>24000000</v>
      </c>
    </row>
    <row r="10" spans="1:8">
      <c r="B10" s="19"/>
      <c r="C10" s="20" t="s">
        <v>24</v>
      </c>
      <c r="D10" s="10">
        <v>3000000</v>
      </c>
      <c r="E10" s="21" t="s">
        <v>13</v>
      </c>
      <c r="G10" s="55" t="s">
        <v>25</v>
      </c>
      <c r="H10" s="12">
        <f>(D10/D11)*D3</f>
        <v>3000000</v>
      </c>
    </row>
    <row r="11" spans="1:8">
      <c r="B11" s="19"/>
      <c r="C11" s="20" t="s">
        <v>26</v>
      </c>
      <c r="D11" s="20">
        <v>10</v>
      </c>
      <c r="E11" s="21" t="s">
        <v>0</v>
      </c>
      <c r="G11" s="56" t="s">
        <v>65</v>
      </c>
      <c r="H11" s="11">
        <f>H4*D12</f>
        <v>12000000</v>
      </c>
    </row>
    <row r="12" spans="1:8">
      <c r="B12" s="19"/>
      <c r="C12" s="20" t="s">
        <v>58</v>
      </c>
      <c r="D12" s="22">
        <v>0.1</v>
      </c>
      <c r="E12" s="21"/>
      <c r="G12" s="54" t="s">
        <v>7</v>
      </c>
      <c r="H12" s="52">
        <f>H6-H7</f>
        <v>3000000</v>
      </c>
    </row>
    <row r="13" spans="1:8">
      <c r="B13" s="19"/>
      <c r="C13" s="20" t="s">
        <v>38</v>
      </c>
      <c r="D13" s="10">
        <f>(D10*D3)*2/3</f>
        <v>20000000</v>
      </c>
      <c r="E13" s="21" t="s">
        <v>13</v>
      </c>
      <c r="G13" s="56" t="s">
        <v>35</v>
      </c>
      <c r="H13" s="11">
        <f>D13*D14</f>
        <v>200000</v>
      </c>
    </row>
    <row r="14" spans="1:8">
      <c r="B14" s="19"/>
      <c r="C14" s="20" t="s">
        <v>36</v>
      </c>
      <c r="D14" s="22">
        <v>0.01</v>
      </c>
      <c r="E14" s="21"/>
      <c r="G14" s="54" t="s">
        <v>37</v>
      </c>
      <c r="H14" s="53">
        <f>H12-H13</f>
        <v>2800000</v>
      </c>
    </row>
    <row r="15" spans="1:8">
      <c r="B15" s="23"/>
      <c r="C15" s="24" t="s">
        <v>28</v>
      </c>
      <c r="D15" s="25">
        <v>0.3</v>
      </c>
      <c r="E15" s="26"/>
      <c r="G15" s="57" t="s">
        <v>66</v>
      </c>
      <c r="H15" s="11">
        <f>H14*D15</f>
        <v>840000</v>
      </c>
    </row>
    <row r="16" spans="1:8">
      <c r="G16" s="54" t="s">
        <v>29</v>
      </c>
      <c r="H16" s="53">
        <f>H14-H15</f>
        <v>1960000</v>
      </c>
    </row>
    <row r="20" spans="5:5">
      <c r="E20" s="7"/>
    </row>
  </sheetData>
  <phoneticPr fontId="1"/>
  <pageMargins left="0.7" right="0.7" top="0.75" bottom="0.75" header="0.3" footer="0.3"/>
  <ignoredErrors>
    <ignoredError sqref="H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8DB3C-4811-48D7-B98E-998B12746A53}">
  <dimension ref="A1:M19"/>
  <sheetViews>
    <sheetView zoomScale="80" zoomScaleNormal="80" workbookViewId="0"/>
  </sheetViews>
  <sheetFormatPr baseColWidth="10" defaultColWidth="8.83203125" defaultRowHeight="19"/>
  <cols>
    <col min="1" max="1" width="3.83203125" style="1" customWidth="1"/>
    <col min="2" max="2" width="6" style="1" customWidth="1"/>
    <col min="3" max="3" width="35.1640625" style="1" customWidth="1"/>
    <col min="4" max="4" width="14.6640625" style="1" bestFit="1" customWidth="1"/>
    <col min="5" max="5" width="12.83203125" style="1" customWidth="1"/>
    <col min="6" max="6" width="6.1640625" style="1" customWidth="1"/>
    <col min="7" max="7" width="16.5" style="1" customWidth="1"/>
    <col min="8" max="8" width="17.83203125" style="1" customWidth="1"/>
    <col min="9" max="9" width="5.6640625" style="1" customWidth="1"/>
    <col min="10" max="10" width="17.83203125" style="1" customWidth="1"/>
    <col min="11" max="12" width="17.1640625" style="1" customWidth="1"/>
    <col min="13" max="13" width="24.33203125" style="1" customWidth="1"/>
    <col min="14" max="14" width="14.1640625" style="1" customWidth="1"/>
    <col min="15" max="16384" width="8.83203125" style="1"/>
  </cols>
  <sheetData>
    <row r="1" spans="1:13">
      <c r="A1" s="6" t="s">
        <v>71</v>
      </c>
    </row>
    <row r="3" spans="1:13" ht="20" thickBot="1">
      <c r="B3" s="45" t="s">
        <v>8</v>
      </c>
      <c r="C3" s="17" t="s">
        <v>9</v>
      </c>
      <c r="D3" s="17">
        <v>10</v>
      </c>
      <c r="E3" s="18" t="s">
        <v>10</v>
      </c>
      <c r="G3" s="6" t="s">
        <v>72</v>
      </c>
      <c r="J3" s="6" t="s">
        <v>73</v>
      </c>
      <c r="M3" s="43" t="s">
        <v>11</v>
      </c>
    </row>
    <row r="4" spans="1:13">
      <c r="B4" s="19"/>
      <c r="C4" s="20" t="s">
        <v>42</v>
      </c>
      <c r="D4" s="20">
        <v>1</v>
      </c>
      <c r="E4" s="21" t="s">
        <v>39</v>
      </c>
      <c r="G4" s="1" t="s">
        <v>11</v>
      </c>
      <c r="H4" s="44" t="s">
        <v>70</v>
      </c>
      <c r="J4" s="36" t="s">
        <v>62</v>
      </c>
      <c r="K4" s="60">
        <f>SUM(K5:K11)</f>
        <v>42000000</v>
      </c>
      <c r="L4" s="36" t="s">
        <v>63</v>
      </c>
      <c r="M4" s="60">
        <f>SUM(M5:M8)</f>
        <v>39040000</v>
      </c>
    </row>
    <row r="5" spans="1:13">
      <c r="B5" s="19"/>
      <c r="C5" s="20" t="s">
        <v>12</v>
      </c>
      <c r="D5" s="10">
        <v>1000000</v>
      </c>
      <c r="E5" s="21" t="s">
        <v>13</v>
      </c>
      <c r="G5" s="54" t="s">
        <v>14</v>
      </c>
      <c r="H5" s="52">
        <v>120000000</v>
      </c>
      <c r="J5" s="38" t="s">
        <v>77</v>
      </c>
      <c r="K5" s="32">
        <f>D5*D3*D4</f>
        <v>10000000</v>
      </c>
      <c r="L5" s="40" t="s">
        <v>41</v>
      </c>
      <c r="M5" s="32">
        <f>(H6/D6)*D9</f>
        <v>4000000.0000000005</v>
      </c>
    </row>
    <row r="6" spans="1:13">
      <c r="B6" s="19"/>
      <c r="C6" s="20" t="s">
        <v>56</v>
      </c>
      <c r="D6" s="10">
        <v>360</v>
      </c>
      <c r="E6" s="21" t="s">
        <v>57</v>
      </c>
      <c r="G6" s="58" t="s">
        <v>78</v>
      </c>
      <c r="H6" s="59">
        <v>48000000</v>
      </c>
      <c r="J6" s="38" t="s">
        <v>40</v>
      </c>
      <c r="K6" s="32">
        <f>(H5/D6)*D7</f>
        <v>3000000</v>
      </c>
      <c r="L6" s="40" t="s">
        <v>30</v>
      </c>
      <c r="M6" s="32">
        <f>H16</f>
        <v>840000</v>
      </c>
    </row>
    <row r="7" spans="1:13">
      <c r="B7" s="19"/>
      <c r="C7" s="20" t="s">
        <v>43</v>
      </c>
      <c r="D7" s="20">
        <v>9</v>
      </c>
      <c r="E7" s="21" t="s">
        <v>33</v>
      </c>
      <c r="G7" s="54" t="s">
        <v>6</v>
      </c>
      <c r="H7" s="51">
        <v>72000000</v>
      </c>
      <c r="J7" s="38" t="s">
        <v>4</v>
      </c>
      <c r="K7" s="32">
        <f>(H6/D6)*D8</f>
        <v>2000000.0000000002</v>
      </c>
      <c r="L7" s="40" t="s">
        <v>31</v>
      </c>
      <c r="M7" s="32">
        <f>K12-M9-(M5+M6+M8)</f>
        <v>14200000</v>
      </c>
    </row>
    <row r="8" spans="1:13" ht="20" thickBot="1">
      <c r="B8" s="19"/>
      <c r="C8" s="20" t="s">
        <v>44</v>
      </c>
      <c r="D8" s="20">
        <v>15</v>
      </c>
      <c r="E8" s="21" t="s">
        <v>33</v>
      </c>
      <c r="G8" s="54" t="s">
        <v>19</v>
      </c>
      <c r="H8" s="51">
        <v>69000000</v>
      </c>
      <c r="J8" s="38"/>
      <c r="K8" s="34"/>
      <c r="L8" s="39" t="s">
        <v>32</v>
      </c>
      <c r="M8" s="33">
        <f>D12</f>
        <v>20000000</v>
      </c>
    </row>
    <row r="9" spans="1:13">
      <c r="B9" s="19"/>
      <c r="C9" s="10" t="s">
        <v>45</v>
      </c>
      <c r="D9" s="20">
        <v>30</v>
      </c>
      <c r="E9" s="21" t="s">
        <v>34</v>
      </c>
      <c r="G9" s="55" t="s">
        <v>21</v>
      </c>
      <c r="H9" s="12">
        <v>30000000</v>
      </c>
      <c r="J9" s="38"/>
      <c r="K9" s="34"/>
      <c r="L9" s="6" t="s">
        <v>64</v>
      </c>
      <c r="M9" s="62">
        <f>SUM(M10:M11)</f>
        <v>2960000</v>
      </c>
    </row>
    <row r="10" spans="1:13">
      <c r="B10" s="19"/>
      <c r="C10" s="20" t="s">
        <v>24</v>
      </c>
      <c r="D10" s="10">
        <v>3000000</v>
      </c>
      <c r="E10" s="21" t="s">
        <v>13</v>
      </c>
      <c r="G10" s="55" t="s">
        <v>23</v>
      </c>
      <c r="H10" s="12">
        <v>24000000</v>
      </c>
      <c r="J10" s="38"/>
      <c r="K10" s="34"/>
      <c r="L10" s="41" t="s">
        <v>3</v>
      </c>
      <c r="M10" s="32">
        <f>D14</f>
        <v>1000000</v>
      </c>
    </row>
    <row r="11" spans="1:13" ht="20" thickBot="1">
      <c r="B11" s="19"/>
      <c r="C11" s="20" t="s">
        <v>26</v>
      </c>
      <c r="D11" s="20">
        <v>10</v>
      </c>
      <c r="E11" s="21" t="s">
        <v>0</v>
      </c>
      <c r="G11" s="55" t="s">
        <v>25</v>
      </c>
      <c r="H11" s="12">
        <v>3000000</v>
      </c>
      <c r="J11" s="39" t="s">
        <v>2</v>
      </c>
      <c r="K11" s="33">
        <f>D10*D3-H11</f>
        <v>27000000</v>
      </c>
      <c r="L11" s="42" t="s">
        <v>76</v>
      </c>
      <c r="M11" s="33">
        <f>H17</f>
        <v>1960000</v>
      </c>
    </row>
    <row r="12" spans="1:13" ht="20" thickBot="1">
      <c r="B12" s="19"/>
      <c r="C12" s="20" t="s">
        <v>38</v>
      </c>
      <c r="D12" s="10">
        <f>(D10*D3)*2/3</f>
        <v>20000000</v>
      </c>
      <c r="E12" s="21" t="s">
        <v>13</v>
      </c>
      <c r="G12" s="56" t="s">
        <v>65</v>
      </c>
      <c r="H12" s="11">
        <v>12000000</v>
      </c>
      <c r="J12" s="35" t="s">
        <v>61</v>
      </c>
      <c r="K12" s="61">
        <f>K4</f>
        <v>42000000</v>
      </c>
      <c r="L12" s="37" t="s">
        <v>61</v>
      </c>
      <c r="M12" s="61">
        <f>M4+M9</f>
        <v>42000000</v>
      </c>
    </row>
    <row r="13" spans="1:13">
      <c r="B13" s="19"/>
      <c r="C13" s="10" t="s">
        <v>31</v>
      </c>
      <c r="D13" s="27" t="s">
        <v>5</v>
      </c>
      <c r="E13" s="21"/>
      <c r="G13" s="54" t="s">
        <v>7</v>
      </c>
      <c r="H13" s="52">
        <v>3000000</v>
      </c>
    </row>
    <row r="14" spans="1:13">
      <c r="B14" s="23"/>
      <c r="C14" s="11" t="s">
        <v>3</v>
      </c>
      <c r="D14" s="11">
        <v>1000000</v>
      </c>
      <c r="E14" s="26" t="s">
        <v>13</v>
      </c>
      <c r="G14" s="56" t="s">
        <v>35</v>
      </c>
      <c r="H14" s="11">
        <v>200000</v>
      </c>
    </row>
    <row r="15" spans="1:13">
      <c r="G15" s="54" t="s">
        <v>37</v>
      </c>
      <c r="H15" s="53">
        <v>2800000</v>
      </c>
    </row>
    <row r="16" spans="1:13">
      <c r="G16" s="57" t="s">
        <v>66</v>
      </c>
      <c r="H16" s="11">
        <v>840000</v>
      </c>
    </row>
    <row r="17" spans="5:8">
      <c r="G17" s="54" t="s">
        <v>29</v>
      </c>
      <c r="H17" s="53">
        <v>1960000</v>
      </c>
    </row>
    <row r="19" spans="5:8">
      <c r="E19" s="7"/>
    </row>
  </sheetData>
  <phoneticPr fontId="1"/>
  <pageMargins left="0.7" right="0.7" top="0.75" bottom="0.75" header="0.3" footer="0.3"/>
  <ignoredErrors>
    <ignoredError sqref="M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3D7BC-C1A6-40DF-BB82-10830E4C0EFB}">
  <dimension ref="A1:O48"/>
  <sheetViews>
    <sheetView zoomScale="70" zoomScaleNormal="70" workbookViewId="0"/>
  </sheetViews>
  <sheetFormatPr baseColWidth="10" defaultColWidth="8.83203125" defaultRowHeight="19"/>
  <cols>
    <col min="1" max="1" width="3.83203125" style="1" customWidth="1"/>
    <col min="2" max="2" width="6" style="1" customWidth="1"/>
    <col min="3" max="3" width="35.1640625" style="1" customWidth="1"/>
    <col min="4" max="4" width="14.6640625" style="1" bestFit="1" customWidth="1"/>
    <col min="5" max="5" width="12.1640625" style="1" customWidth="1"/>
    <col min="6" max="6" width="3.83203125" style="1" customWidth="1"/>
    <col min="7" max="7" width="19.1640625" style="1" customWidth="1"/>
    <col min="8" max="8" width="14" style="1" customWidth="1"/>
    <col min="9" max="10" width="14.5" style="1" customWidth="1"/>
    <col min="11" max="11" width="3.83203125" style="1" customWidth="1"/>
    <col min="12" max="12" width="22.83203125" style="1" customWidth="1"/>
    <col min="13" max="15" width="19.1640625" style="1" customWidth="1"/>
    <col min="16" max="16384" width="8.83203125" style="1"/>
  </cols>
  <sheetData>
    <row r="1" spans="1:15">
      <c r="A1" s="6"/>
      <c r="I1" s="73" t="s">
        <v>1</v>
      </c>
      <c r="J1" s="74" t="s">
        <v>1</v>
      </c>
    </row>
    <row r="2" spans="1:15">
      <c r="A2" s="6" t="s">
        <v>69</v>
      </c>
      <c r="G2" s="1" t="s">
        <v>11</v>
      </c>
      <c r="I2" s="75">
        <v>-0.05</v>
      </c>
      <c r="J2" s="76">
        <v>0.05</v>
      </c>
    </row>
    <row r="3" spans="1:15">
      <c r="B3" s="16" t="s">
        <v>8</v>
      </c>
      <c r="C3" s="17" t="s">
        <v>9</v>
      </c>
      <c r="D3" s="17">
        <v>10</v>
      </c>
      <c r="E3" s="18" t="s">
        <v>10</v>
      </c>
      <c r="G3" s="6" t="s">
        <v>74</v>
      </c>
      <c r="H3" s="8" t="s">
        <v>55</v>
      </c>
      <c r="I3" s="8" t="s">
        <v>52</v>
      </c>
      <c r="J3" s="8" t="s">
        <v>53</v>
      </c>
      <c r="L3" s="6" t="s">
        <v>75</v>
      </c>
      <c r="M3" s="8" t="s">
        <v>55</v>
      </c>
      <c r="N3" s="8" t="s">
        <v>52</v>
      </c>
      <c r="O3" s="8" t="s">
        <v>53</v>
      </c>
    </row>
    <row r="4" spans="1:15">
      <c r="B4" s="19"/>
      <c r="C4" s="20" t="s">
        <v>12</v>
      </c>
      <c r="D4" s="10">
        <v>1000000</v>
      </c>
      <c r="E4" s="21" t="s">
        <v>13</v>
      </c>
      <c r="G4" s="54" t="s">
        <v>14</v>
      </c>
      <c r="H4" s="10">
        <f>$D$4*$D$5*$D$3</f>
        <v>120000000</v>
      </c>
      <c r="I4" s="10">
        <f>$D$4*$D$5*$D$3*(1+I2)</f>
        <v>114000000</v>
      </c>
      <c r="J4" s="10">
        <f>$D$4*$D$5*$D$3*(1+J2)</f>
        <v>126000000</v>
      </c>
      <c r="K4" s="9"/>
      <c r="L4" s="1" t="s">
        <v>77</v>
      </c>
      <c r="M4" s="10">
        <f>$D$4*$D$3</f>
        <v>10000000</v>
      </c>
      <c r="N4" s="10">
        <f t="shared" ref="N4:O4" si="0">$D$4*$D$3</f>
        <v>10000000</v>
      </c>
      <c r="O4" s="10">
        <f t="shared" si="0"/>
        <v>10000000</v>
      </c>
    </row>
    <row r="5" spans="1:15">
      <c r="B5" s="19"/>
      <c r="C5" s="20" t="s">
        <v>15</v>
      </c>
      <c r="D5" s="10">
        <v>12</v>
      </c>
      <c r="E5" s="21" t="s">
        <v>16</v>
      </c>
      <c r="G5" s="58" t="s">
        <v>78</v>
      </c>
      <c r="H5" s="11">
        <f>H4*($D$6+$D$7)</f>
        <v>48000000</v>
      </c>
      <c r="I5" s="11">
        <f>H5</f>
        <v>48000000</v>
      </c>
      <c r="J5" s="11">
        <f>H5</f>
        <v>48000000</v>
      </c>
      <c r="K5" s="15"/>
      <c r="L5" s="1" t="s">
        <v>40</v>
      </c>
      <c r="M5" s="10">
        <f>(H4/$D$22)*$D$23</f>
        <v>3000000</v>
      </c>
      <c r="N5" s="10">
        <f t="shared" ref="N5:O5" si="1">(I4/$D$22)*$D$23</f>
        <v>2850000</v>
      </c>
      <c r="O5" s="10">
        <f t="shared" si="1"/>
        <v>3150000</v>
      </c>
    </row>
    <row r="6" spans="1:15">
      <c r="B6" s="19"/>
      <c r="C6" s="20" t="s">
        <v>17</v>
      </c>
      <c r="D6" s="22">
        <v>0.3</v>
      </c>
      <c r="E6" s="21"/>
      <c r="G6" s="54" t="s">
        <v>6</v>
      </c>
      <c r="H6" s="12">
        <f>H4-H5</f>
        <v>72000000</v>
      </c>
      <c r="I6" s="12">
        <f t="shared" ref="I6:J6" si="2">I4-I5</f>
        <v>66000000</v>
      </c>
      <c r="J6" s="12">
        <f t="shared" si="2"/>
        <v>78000000</v>
      </c>
      <c r="K6" s="9"/>
      <c r="L6" s="1" t="s">
        <v>4</v>
      </c>
      <c r="M6" s="10">
        <f>(H5/$D$22)*$D$24</f>
        <v>2000000.0000000002</v>
      </c>
      <c r="N6" s="10">
        <f t="shared" ref="N6:O6" si="3">(I5/$D$22)*$D$24</f>
        <v>2000000.0000000002</v>
      </c>
      <c r="O6" s="10">
        <f t="shared" si="3"/>
        <v>2000000.0000000002</v>
      </c>
    </row>
    <row r="7" spans="1:15">
      <c r="B7" s="19"/>
      <c r="C7" s="20" t="s">
        <v>18</v>
      </c>
      <c r="D7" s="22">
        <v>0.1</v>
      </c>
      <c r="E7" s="21"/>
      <c r="G7" s="54" t="s">
        <v>19</v>
      </c>
      <c r="H7" s="12"/>
      <c r="I7" s="12"/>
      <c r="J7" s="12"/>
      <c r="K7" s="15"/>
      <c r="L7" s="4" t="s">
        <v>2</v>
      </c>
      <c r="M7" s="11">
        <f>$D$26*$D$19-H10</f>
        <v>27000000</v>
      </c>
      <c r="N7" s="11">
        <f t="shared" ref="N7:O7" si="4">$D$26*$D$19-I10</f>
        <v>27000000</v>
      </c>
      <c r="O7" s="11">
        <f t="shared" si="4"/>
        <v>27000000</v>
      </c>
    </row>
    <row r="8" spans="1:15">
      <c r="B8" s="19"/>
      <c r="C8" s="20" t="s">
        <v>20</v>
      </c>
      <c r="D8" s="10">
        <v>3000000</v>
      </c>
      <c r="E8" s="21" t="s">
        <v>13</v>
      </c>
      <c r="G8" s="55" t="s">
        <v>21</v>
      </c>
      <c r="H8" s="12">
        <f>$D$8*$D$3</f>
        <v>30000000</v>
      </c>
      <c r="I8" s="12">
        <f t="shared" ref="I8:J8" si="5">$D$8*$D$3</f>
        <v>30000000</v>
      </c>
      <c r="J8" s="12">
        <f t="shared" si="5"/>
        <v>30000000</v>
      </c>
      <c r="K8" s="9"/>
      <c r="M8" s="10">
        <f>SUM(M4:M7)</f>
        <v>42000000</v>
      </c>
      <c r="N8" s="10">
        <f t="shared" ref="N8:O8" si="6">SUM(N4:N7)</f>
        <v>41850000</v>
      </c>
      <c r="O8" s="10">
        <f t="shared" si="6"/>
        <v>42150000</v>
      </c>
    </row>
    <row r="9" spans="1:15">
      <c r="B9" s="19"/>
      <c r="C9" s="20" t="s">
        <v>22</v>
      </c>
      <c r="D9" s="10">
        <v>2400000</v>
      </c>
      <c r="E9" s="21" t="s">
        <v>13</v>
      </c>
      <c r="G9" s="55" t="s">
        <v>23</v>
      </c>
      <c r="H9" s="12">
        <f>$D$9*$D$3</f>
        <v>24000000</v>
      </c>
      <c r="I9" s="12">
        <f t="shared" ref="I9:J9" si="7">$D$9*$D$3</f>
        <v>24000000</v>
      </c>
      <c r="J9" s="12">
        <f t="shared" si="7"/>
        <v>24000000</v>
      </c>
      <c r="K9" s="9"/>
      <c r="L9" s="7" t="s">
        <v>41</v>
      </c>
      <c r="M9" s="10">
        <f>(H5/$D$22)*$D$25</f>
        <v>4000000.0000000005</v>
      </c>
      <c r="N9" s="10">
        <f t="shared" ref="N9:O9" si="8">(I5/$D$22)*$D$25</f>
        <v>4000000.0000000005</v>
      </c>
      <c r="O9" s="10">
        <f t="shared" si="8"/>
        <v>4000000.0000000005</v>
      </c>
    </row>
    <row r="10" spans="1:15">
      <c r="B10" s="19"/>
      <c r="C10" s="20" t="s">
        <v>24</v>
      </c>
      <c r="D10" s="10">
        <v>3000000</v>
      </c>
      <c r="E10" s="21" t="s">
        <v>13</v>
      </c>
      <c r="G10" s="55" t="s">
        <v>25</v>
      </c>
      <c r="H10" s="12">
        <f>($D$10/$D$11)*$D$3</f>
        <v>3000000</v>
      </c>
      <c r="I10" s="12">
        <f t="shared" ref="I10:J10" si="9">($D$10/$D$11)*$D$3</f>
        <v>3000000</v>
      </c>
      <c r="J10" s="12">
        <f t="shared" si="9"/>
        <v>3000000</v>
      </c>
      <c r="K10" s="9"/>
      <c r="L10" s="7" t="s">
        <v>30</v>
      </c>
      <c r="M10" s="10">
        <f>H15</f>
        <v>840000</v>
      </c>
      <c r="N10" s="10">
        <f>I15</f>
        <v>0</v>
      </c>
      <c r="O10" s="10">
        <f>J15</f>
        <v>2460000</v>
      </c>
    </row>
    <row r="11" spans="1:15">
      <c r="B11" s="19"/>
      <c r="C11" s="20" t="s">
        <v>26</v>
      </c>
      <c r="D11" s="20">
        <v>10</v>
      </c>
      <c r="E11" s="21" t="s">
        <v>0</v>
      </c>
      <c r="G11" s="56" t="s">
        <v>65</v>
      </c>
      <c r="H11" s="11">
        <f>H4*$D$12</f>
        <v>12000000</v>
      </c>
      <c r="I11" s="11">
        <f>I4*$D$12</f>
        <v>11400000</v>
      </c>
      <c r="J11" s="11">
        <f t="shared" ref="J11" si="10">J4*$D$12</f>
        <v>12600000</v>
      </c>
      <c r="K11" s="9"/>
      <c r="L11" s="7" t="s">
        <v>31</v>
      </c>
      <c r="M11" s="10">
        <f>M15-SUM(M9:M10)-SUM(M12:M14)</f>
        <v>14200000</v>
      </c>
      <c r="N11" s="10">
        <f t="shared" ref="N11:O11" si="11">N15-SUM(N9:N10)-SUM(N12:N14)</f>
        <v>19450000</v>
      </c>
      <c r="O11" s="10">
        <f t="shared" si="11"/>
        <v>8950000</v>
      </c>
    </row>
    <row r="12" spans="1:15">
      <c r="B12" s="19"/>
      <c r="C12" s="20" t="s">
        <v>27</v>
      </c>
      <c r="D12" s="22">
        <v>0.1</v>
      </c>
      <c r="E12" s="21"/>
      <c r="G12" s="54" t="s">
        <v>7</v>
      </c>
      <c r="H12" s="10">
        <f>H6-SUM(H8:H11)</f>
        <v>3000000</v>
      </c>
      <c r="I12" s="10">
        <f t="shared" ref="I12:J12" si="12">I6-SUM(I8:I11)</f>
        <v>-2400000</v>
      </c>
      <c r="J12" s="10">
        <f t="shared" si="12"/>
        <v>8400000</v>
      </c>
      <c r="L12" s="4" t="s">
        <v>32</v>
      </c>
      <c r="M12" s="11">
        <f>$D$13</f>
        <v>20000000</v>
      </c>
      <c r="N12" s="11">
        <f t="shared" ref="N12:O12" si="13">$D$13</f>
        <v>20000000</v>
      </c>
      <c r="O12" s="11">
        <f t="shared" si="13"/>
        <v>20000000</v>
      </c>
    </row>
    <row r="13" spans="1:15">
      <c r="B13" s="19"/>
      <c r="C13" s="20" t="s">
        <v>38</v>
      </c>
      <c r="D13" s="10">
        <f>(D10*D3)*2/3</f>
        <v>20000000</v>
      </c>
      <c r="E13" s="21" t="s">
        <v>13</v>
      </c>
      <c r="G13" s="56" t="s">
        <v>35</v>
      </c>
      <c r="H13" s="11">
        <f>$D$13*$D$14</f>
        <v>200000</v>
      </c>
      <c r="I13" s="11">
        <f t="shared" ref="I13:J13" si="14">$D$13*$D$14</f>
        <v>200000</v>
      </c>
      <c r="J13" s="11">
        <f t="shared" si="14"/>
        <v>200000</v>
      </c>
      <c r="K13" s="9"/>
      <c r="L13" s="7" t="s">
        <v>3</v>
      </c>
      <c r="M13" s="10">
        <f>$D$30</f>
        <v>1000000</v>
      </c>
      <c r="N13" s="10">
        <f t="shared" ref="N13:O13" si="15">$D$30</f>
        <v>1000000</v>
      </c>
      <c r="O13" s="10">
        <f t="shared" si="15"/>
        <v>1000000</v>
      </c>
    </row>
    <row r="14" spans="1:15">
      <c r="B14" s="19"/>
      <c r="C14" s="20" t="s">
        <v>36</v>
      </c>
      <c r="D14" s="22">
        <v>0.01</v>
      </c>
      <c r="E14" s="21"/>
      <c r="G14" s="54" t="s">
        <v>37</v>
      </c>
      <c r="H14" s="14">
        <f>H12-H13</f>
        <v>2800000</v>
      </c>
      <c r="I14" s="14">
        <f>I12-I13</f>
        <v>-2600000</v>
      </c>
      <c r="J14" s="14">
        <f t="shared" ref="J14" si="16">J12-J13</f>
        <v>8200000</v>
      </c>
      <c r="K14" s="9"/>
      <c r="L14" s="5" t="s">
        <v>76</v>
      </c>
      <c r="M14" s="11">
        <f>H16</f>
        <v>1960000</v>
      </c>
      <c r="N14" s="11">
        <f>I16</f>
        <v>-2600000</v>
      </c>
      <c r="O14" s="11">
        <f>J16</f>
        <v>5740000</v>
      </c>
    </row>
    <row r="15" spans="1:15">
      <c r="B15" s="23"/>
      <c r="C15" s="24" t="s">
        <v>28</v>
      </c>
      <c r="D15" s="25">
        <v>0.3</v>
      </c>
      <c r="E15" s="26"/>
      <c r="G15" s="57" t="s">
        <v>66</v>
      </c>
      <c r="H15" s="11">
        <f>H14*$D$15</f>
        <v>840000</v>
      </c>
      <c r="I15" s="11">
        <v>0</v>
      </c>
      <c r="J15" s="11">
        <f>J14*$D$15</f>
        <v>2460000</v>
      </c>
      <c r="K15" s="15"/>
      <c r="M15" s="10">
        <f>M8</f>
        <v>42000000</v>
      </c>
      <c r="N15" s="10">
        <f t="shared" ref="N15:O15" si="17">N8</f>
        <v>41850000</v>
      </c>
      <c r="O15" s="10">
        <f t="shared" si="17"/>
        <v>42150000</v>
      </c>
    </row>
    <row r="16" spans="1:15">
      <c r="G16" s="54" t="s">
        <v>29</v>
      </c>
      <c r="H16" s="14">
        <f>H14-H15</f>
        <v>1960000</v>
      </c>
      <c r="I16" s="14">
        <f t="shared" ref="I16:J16" si="18">I14-I15</f>
        <v>-2600000</v>
      </c>
      <c r="J16" s="14">
        <f t="shared" si="18"/>
        <v>5740000</v>
      </c>
      <c r="K16" s="9"/>
      <c r="L16" s="3"/>
    </row>
    <row r="17" spans="1:15">
      <c r="G17" s="9"/>
      <c r="H17" s="9"/>
      <c r="I17" s="9"/>
      <c r="J17" s="9"/>
      <c r="L17" s="6" t="s">
        <v>51</v>
      </c>
      <c r="M17" s="8" t="s">
        <v>55</v>
      </c>
      <c r="N17" s="8" t="s">
        <v>52</v>
      </c>
      <c r="O17" s="8" t="s">
        <v>53</v>
      </c>
    </row>
    <row r="18" spans="1:15">
      <c r="A18" s="6" t="s">
        <v>71</v>
      </c>
      <c r="L18" s="1" t="s">
        <v>46</v>
      </c>
      <c r="M18" s="29">
        <f>H16/(M13+M14)</f>
        <v>0.66216216216216217</v>
      </c>
      <c r="N18" s="50" t="s">
        <v>54</v>
      </c>
      <c r="O18" s="29">
        <f>J16/(O13+O14)</f>
        <v>0.85163204747774479</v>
      </c>
    </row>
    <row r="19" spans="1:15">
      <c r="B19" s="16" t="s">
        <v>8</v>
      </c>
      <c r="C19" s="17" t="s">
        <v>9</v>
      </c>
      <c r="D19" s="17">
        <v>10</v>
      </c>
      <c r="E19" s="18" t="s">
        <v>10</v>
      </c>
      <c r="G19" s="1" t="s">
        <v>59</v>
      </c>
      <c r="K19" s="28"/>
      <c r="L19" s="1" t="s">
        <v>47</v>
      </c>
      <c r="M19" s="30">
        <f>H16/M8</f>
        <v>4.6666666666666669E-2</v>
      </c>
      <c r="N19" s="49" t="s">
        <v>54</v>
      </c>
      <c r="O19" s="30">
        <f>J16/O8</f>
        <v>0.1361803084223013</v>
      </c>
    </row>
    <row r="20" spans="1:15">
      <c r="B20" s="19"/>
      <c r="C20" s="20" t="s">
        <v>42</v>
      </c>
      <c r="D20" s="20">
        <v>1</v>
      </c>
      <c r="E20" s="21" t="s">
        <v>39</v>
      </c>
      <c r="G20" s="1" t="s">
        <v>60</v>
      </c>
      <c r="L20" s="1" t="s">
        <v>50</v>
      </c>
      <c r="M20" s="30">
        <f>H16/H4</f>
        <v>1.6333333333333332E-2</v>
      </c>
      <c r="N20" s="30">
        <f>I16/I4</f>
        <v>-2.2807017543859651E-2</v>
      </c>
      <c r="O20" s="30">
        <f>J16/J4</f>
        <v>4.5555555555555557E-2</v>
      </c>
    </row>
    <row r="21" spans="1:15">
      <c r="B21" s="19"/>
      <c r="C21" s="20" t="s">
        <v>12</v>
      </c>
      <c r="D21" s="10">
        <v>1000000</v>
      </c>
      <c r="E21" s="21" t="s">
        <v>13</v>
      </c>
      <c r="K21" s="6"/>
      <c r="L21" s="1" t="s">
        <v>48</v>
      </c>
      <c r="M21" s="31">
        <f>H4/M8</f>
        <v>2.8571428571428572</v>
      </c>
      <c r="N21" s="31">
        <f>I4/N8</f>
        <v>2.7240143369175627</v>
      </c>
      <c r="O21" s="31">
        <f>J4/O8</f>
        <v>2.9893238434163703</v>
      </c>
    </row>
    <row r="22" spans="1:15">
      <c r="B22" s="19"/>
      <c r="C22" s="20" t="s">
        <v>56</v>
      </c>
      <c r="D22" s="10">
        <v>360</v>
      </c>
      <c r="E22" s="21" t="s">
        <v>57</v>
      </c>
      <c r="L22" s="1" t="s">
        <v>49</v>
      </c>
      <c r="M22" s="31">
        <f>M8/SUM(M13:M14)</f>
        <v>14.189189189189189</v>
      </c>
      <c r="N22" s="49" t="s">
        <v>54</v>
      </c>
      <c r="O22" s="31">
        <f t="shared" ref="O22" si="19">O8/SUM(O13:O14)</f>
        <v>6.2537091988130564</v>
      </c>
    </row>
    <row r="23" spans="1:15">
      <c r="B23" s="19"/>
      <c r="C23" s="20" t="s">
        <v>43</v>
      </c>
      <c r="D23" s="20">
        <v>9</v>
      </c>
      <c r="E23" s="21" t="s">
        <v>33</v>
      </c>
    </row>
    <row r="24" spans="1:15">
      <c r="B24" s="19"/>
      <c r="C24" s="20" t="s">
        <v>44</v>
      </c>
      <c r="D24" s="20">
        <v>15</v>
      </c>
      <c r="E24" s="21" t="s">
        <v>33</v>
      </c>
      <c r="M24" s="47"/>
      <c r="N24" s="47"/>
      <c r="O24" s="47"/>
    </row>
    <row r="25" spans="1:15">
      <c r="B25" s="19"/>
      <c r="C25" s="10" t="s">
        <v>45</v>
      </c>
      <c r="D25" s="20">
        <v>30</v>
      </c>
      <c r="E25" s="21" t="s">
        <v>34</v>
      </c>
      <c r="M25" s="46"/>
      <c r="N25" s="46"/>
      <c r="O25" s="46"/>
    </row>
    <row r="26" spans="1:15">
      <c r="B26" s="19"/>
      <c r="C26" s="20" t="s">
        <v>24</v>
      </c>
      <c r="D26" s="10">
        <v>3000000</v>
      </c>
      <c r="E26" s="21" t="s">
        <v>13</v>
      </c>
      <c r="M26" s="48"/>
      <c r="N26" s="48"/>
      <c r="O26" s="48"/>
    </row>
    <row r="27" spans="1:15">
      <c r="B27" s="19"/>
      <c r="C27" s="20" t="s">
        <v>26</v>
      </c>
      <c r="D27" s="20">
        <v>10</v>
      </c>
      <c r="E27" s="21" t="s">
        <v>0</v>
      </c>
      <c r="M27" s="48"/>
      <c r="N27" s="48"/>
      <c r="O27" s="48"/>
    </row>
    <row r="28" spans="1:15">
      <c r="B28" s="19"/>
      <c r="C28" s="20" t="s">
        <v>38</v>
      </c>
      <c r="D28" s="10">
        <f>(D26*D19)*2/3</f>
        <v>20000000</v>
      </c>
      <c r="E28" s="21" t="s">
        <v>13</v>
      </c>
    </row>
    <row r="29" spans="1:15">
      <c r="B29" s="19"/>
      <c r="C29" s="10" t="s">
        <v>31</v>
      </c>
      <c r="D29" s="27" t="s">
        <v>5</v>
      </c>
      <c r="E29" s="21"/>
    </row>
    <row r="30" spans="1:15">
      <c r="B30" s="23"/>
      <c r="C30" s="11" t="s">
        <v>3</v>
      </c>
      <c r="D30" s="11">
        <v>1000000</v>
      </c>
      <c r="E30" s="26" t="s">
        <v>13</v>
      </c>
    </row>
    <row r="31" spans="1:15">
      <c r="H31" s="13"/>
      <c r="I31" s="13"/>
      <c r="J31" s="13"/>
    </row>
    <row r="35" spans="5:10">
      <c r="E35" s="7"/>
    </row>
    <row r="46" spans="5:10">
      <c r="H46" s="2"/>
      <c r="I46" s="2"/>
      <c r="J46" s="2"/>
    </row>
    <row r="47" spans="5:10">
      <c r="H47" s="3"/>
      <c r="I47" s="3"/>
      <c r="J47" s="3"/>
    </row>
    <row r="48" spans="5:10">
      <c r="H48" s="3"/>
      <c r="I48" s="3"/>
      <c r="J48" s="3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ED4BC-C0E2-485D-BCC4-ADD6F756361F}">
  <dimension ref="A1:M31"/>
  <sheetViews>
    <sheetView zoomScale="80" zoomScaleNormal="80" workbookViewId="0"/>
  </sheetViews>
  <sheetFormatPr baseColWidth="10" defaultColWidth="8.83203125" defaultRowHeight="19"/>
  <cols>
    <col min="1" max="1" width="3.83203125" style="1" customWidth="1"/>
    <col min="2" max="2" width="6" style="1" customWidth="1"/>
    <col min="3" max="3" width="35.1640625" style="1" customWidth="1"/>
    <col min="4" max="4" width="14.6640625" style="1" bestFit="1" customWidth="1"/>
    <col min="5" max="5" width="12.83203125" style="1" customWidth="1"/>
    <col min="6" max="6" width="6.1640625" style="1" customWidth="1"/>
    <col min="7" max="7" width="19.5" style="1" customWidth="1"/>
    <col min="8" max="8" width="17.83203125" style="1" customWidth="1"/>
    <col min="9" max="9" width="11" style="1" customWidth="1"/>
    <col min="10" max="10" width="19.1640625" style="1" customWidth="1"/>
    <col min="11" max="11" width="15" style="1" customWidth="1"/>
    <col min="12" max="12" width="15.1640625" style="1" customWidth="1"/>
    <col min="13" max="13" width="23.6640625" style="1" customWidth="1"/>
    <col min="14" max="16384" width="8.83203125" style="1"/>
  </cols>
  <sheetData>
    <row r="1" spans="1:13">
      <c r="A1" s="6" t="s">
        <v>68</v>
      </c>
    </row>
    <row r="2" spans="1:13">
      <c r="A2" s="6"/>
    </row>
    <row r="3" spans="1:13" ht="20" thickBot="1">
      <c r="A3" s="6"/>
      <c r="B3" s="63" t="s">
        <v>67</v>
      </c>
      <c r="C3" s="64"/>
      <c r="D3" s="64"/>
      <c r="E3" s="65">
        <v>0</v>
      </c>
      <c r="G3" s="1" t="s">
        <v>11</v>
      </c>
      <c r="H3" s="44" t="s">
        <v>70</v>
      </c>
      <c r="J3" s="6" t="s">
        <v>73</v>
      </c>
      <c r="M3" s="43" t="s">
        <v>11</v>
      </c>
    </row>
    <row r="4" spans="1:13">
      <c r="G4" s="54" t="s">
        <v>14</v>
      </c>
      <c r="H4" s="52">
        <f>D6*D7*D5*(1+E3)</f>
        <v>120000000</v>
      </c>
      <c r="J4" s="36" t="s">
        <v>62</v>
      </c>
      <c r="K4" s="60">
        <f>SUM(K5:K11)</f>
        <v>42000000</v>
      </c>
      <c r="L4" s="36" t="s">
        <v>63</v>
      </c>
      <c r="M4" s="60">
        <f>SUM(M5:M8)</f>
        <v>39040000</v>
      </c>
    </row>
    <row r="5" spans="1:13">
      <c r="B5" s="45" t="s">
        <v>8</v>
      </c>
      <c r="C5" s="17" t="s">
        <v>9</v>
      </c>
      <c r="D5" s="17">
        <v>10</v>
      </c>
      <c r="E5" s="18" t="s">
        <v>10</v>
      </c>
      <c r="G5" s="58" t="s">
        <v>78</v>
      </c>
      <c r="H5" s="59">
        <f>D6*D7*D5*(D8+D9)</f>
        <v>48000000</v>
      </c>
      <c r="J5" s="38" t="s">
        <v>77</v>
      </c>
      <c r="K5" s="32">
        <f>D22*D20*D21</f>
        <v>10000000</v>
      </c>
      <c r="L5" s="40" t="s">
        <v>41</v>
      </c>
      <c r="M5" s="32">
        <f>(H5/D23)*D26</f>
        <v>4000000.0000000005</v>
      </c>
    </row>
    <row r="6" spans="1:13">
      <c r="B6" s="19"/>
      <c r="C6" s="20" t="s">
        <v>12</v>
      </c>
      <c r="D6" s="10">
        <v>1000000</v>
      </c>
      <c r="E6" s="21" t="s">
        <v>13</v>
      </c>
      <c r="G6" s="54" t="s">
        <v>6</v>
      </c>
      <c r="H6" s="51">
        <f>H4-H5</f>
        <v>72000000</v>
      </c>
      <c r="J6" s="38" t="s">
        <v>40</v>
      </c>
      <c r="K6" s="32">
        <f>(H4/D23)*D24</f>
        <v>3000000</v>
      </c>
      <c r="L6" s="40" t="s">
        <v>30</v>
      </c>
      <c r="M6" s="32">
        <f>H15</f>
        <v>840000</v>
      </c>
    </row>
    <row r="7" spans="1:13">
      <c r="B7" s="19"/>
      <c r="C7" s="20" t="s">
        <v>15</v>
      </c>
      <c r="D7" s="10">
        <v>12</v>
      </c>
      <c r="E7" s="21" t="s">
        <v>16</v>
      </c>
      <c r="G7" s="54" t="s">
        <v>19</v>
      </c>
      <c r="H7" s="51">
        <f>SUM(H8:H11)</f>
        <v>69000000</v>
      </c>
      <c r="J7" s="38" t="s">
        <v>4</v>
      </c>
      <c r="K7" s="32">
        <f>(H5/D23)*D25</f>
        <v>2000000.0000000002</v>
      </c>
      <c r="L7" s="40" t="s">
        <v>31</v>
      </c>
      <c r="M7" s="32">
        <f>K12-M9-(M5+M6+M8)</f>
        <v>14200000</v>
      </c>
    </row>
    <row r="8" spans="1:13" ht="20" thickBot="1">
      <c r="B8" s="19"/>
      <c r="C8" s="20" t="s">
        <v>17</v>
      </c>
      <c r="D8" s="22">
        <v>0.3</v>
      </c>
      <c r="E8" s="21"/>
      <c r="G8" s="55" t="s">
        <v>21</v>
      </c>
      <c r="H8" s="12">
        <f>D10*D5</f>
        <v>30000000</v>
      </c>
      <c r="J8" s="38"/>
      <c r="K8" s="34"/>
      <c r="L8" s="39" t="s">
        <v>32</v>
      </c>
      <c r="M8" s="33">
        <f>D29</f>
        <v>20000000</v>
      </c>
    </row>
    <row r="9" spans="1:13">
      <c r="B9" s="19"/>
      <c r="C9" s="20" t="s">
        <v>18</v>
      </c>
      <c r="D9" s="22">
        <v>0.1</v>
      </c>
      <c r="E9" s="21"/>
      <c r="G9" s="55" t="s">
        <v>23</v>
      </c>
      <c r="H9" s="12">
        <f>D11*D5</f>
        <v>24000000</v>
      </c>
      <c r="J9" s="38"/>
      <c r="K9" s="34"/>
      <c r="L9" s="6" t="s">
        <v>64</v>
      </c>
      <c r="M9" s="62">
        <f>SUM(M10:M11)</f>
        <v>2960000</v>
      </c>
    </row>
    <row r="10" spans="1:13">
      <c r="B10" s="19"/>
      <c r="C10" s="20" t="s">
        <v>20</v>
      </c>
      <c r="D10" s="10">
        <v>3000000</v>
      </c>
      <c r="E10" s="21" t="s">
        <v>13</v>
      </c>
      <c r="G10" s="55" t="s">
        <v>25</v>
      </c>
      <c r="H10" s="12">
        <f>(D12/D13)*D5</f>
        <v>3000000</v>
      </c>
      <c r="J10" s="38"/>
      <c r="K10" s="34"/>
      <c r="L10" s="41" t="s">
        <v>3</v>
      </c>
      <c r="M10" s="32">
        <f>D31</f>
        <v>1000000</v>
      </c>
    </row>
    <row r="11" spans="1:13" ht="20" thickBot="1">
      <c r="B11" s="19"/>
      <c r="C11" s="20" t="s">
        <v>22</v>
      </c>
      <c r="D11" s="10">
        <v>2400000</v>
      </c>
      <c r="E11" s="21" t="s">
        <v>13</v>
      </c>
      <c r="G11" s="56" t="s">
        <v>65</v>
      </c>
      <c r="H11" s="11">
        <f>H4*D14</f>
        <v>12000000</v>
      </c>
      <c r="J11" s="39" t="s">
        <v>2</v>
      </c>
      <c r="K11" s="33">
        <f>D27*D20-H10</f>
        <v>27000000</v>
      </c>
      <c r="L11" s="42" t="s">
        <v>76</v>
      </c>
      <c r="M11" s="33">
        <f>H16</f>
        <v>1960000</v>
      </c>
    </row>
    <row r="12" spans="1:13" ht="20" thickBot="1">
      <c r="B12" s="19"/>
      <c r="C12" s="20" t="s">
        <v>24</v>
      </c>
      <c r="D12" s="10">
        <v>3000000</v>
      </c>
      <c r="E12" s="21" t="s">
        <v>13</v>
      </c>
      <c r="G12" s="54" t="s">
        <v>7</v>
      </c>
      <c r="H12" s="52">
        <f>H6-H7</f>
        <v>3000000</v>
      </c>
      <c r="J12" s="35" t="s">
        <v>61</v>
      </c>
      <c r="K12" s="61">
        <f>K4</f>
        <v>42000000</v>
      </c>
      <c r="L12" s="37" t="s">
        <v>61</v>
      </c>
      <c r="M12" s="61">
        <f>M4+M9</f>
        <v>42000000</v>
      </c>
    </row>
    <row r="13" spans="1:13">
      <c r="B13" s="19"/>
      <c r="C13" s="20" t="s">
        <v>26</v>
      </c>
      <c r="D13" s="20">
        <v>10</v>
      </c>
      <c r="E13" s="21" t="s">
        <v>0</v>
      </c>
      <c r="G13" s="56" t="s">
        <v>35</v>
      </c>
      <c r="H13" s="11">
        <f>D15*D16</f>
        <v>200000</v>
      </c>
    </row>
    <row r="14" spans="1:13">
      <c r="B14" s="19"/>
      <c r="C14" s="20" t="s">
        <v>58</v>
      </c>
      <c r="D14" s="22">
        <v>0.1</v>
      </c>
      <c r="E14" s="21"/>
      <c r="G14" s="54" t="s">
        <v>37</v>
      </c>
      <c r="H14" s="53">
        <f>H12-H13</f>
        <v>2800000</v>
      </c>
    </row>
    <row r="15" spans="1:13">
      <c r="B15" s="19"/>
      <c r="C15" s="20" t="s">
        <v>38</v>
      </c>
      <c r="D15" s="10">
        <f>(D12*D5)*2/3</f>
        <v>20000000</v>
      </c>
      <c r="E15" s="21" t="s">
        <v>13</v>
      </c>
      <c r="G15" s="57" t="s">
        <v>66</v>
      </c>
      <c r="H15" s="11">
        <f>H14*D17</f>
        <v>840000</v>
      </c>
      <c r="J15" s="6" t="s">
        <v>51</v>
      </c>
      <c r="K15" s="9"/>
    </row>
    <row r="16" spans="1:13">
      <c r="B16" s="19"/>
      <c r="C16" s="20" t="s">
        <v>36</v>
      </c>
      <c r="D16" s="22">
        <v>0.01</v>
      </c>
      <c r="E16" s="21"/>
      <c r="G16" s="54" t="s">
        <v>29</v>
      </c>
      <c r="H16" s="53">
        <f>H14-H15</f>
        <v>1960000</v>
      </c>
      <c r="J16" s="66" t="s">
        <v>46</v>
      </c>
      <c r="K16" s="67">
        <f>H16/M9</f>
        <v>0.66216216216216217</v>
      </c>
    </row>
    <row r="17" spans="2:11">
      <c r="B17" s="23"/>
      <c r="C17" s="24" t="s">
        <v>28</v>
      </c>
      <c r="D17" s="25">
        <v>0.3</v>
      </c>
      <c r="E17" s="26"/>
      <c r="J17" s="68" t="s">
        <v>47</v>
      </c>
      <c r="K17" s="69">
        <f>H16/K12</f>
        <v>4.6666666666666669E-2</v>
      </c>
    </row>
    <row r="18" spans="2:11">
      <c r="J18" s="68" t="s">
        <v>50</v>
      </c>
      <c r="K18" s="69">
        <f>H16/H4</f>
        <v>1.6333333333333332E-2</v>
      </c>
    </row>
    <row r="19" spans="2:11">
      <c r="J19" s="68" t="s">
        <v>48</v>
      </c>
      <c r="K19" s="70">
        <f>H4/K12</f>
        <v>2.8571428571428572</v>
      </c>
    </row>
    <row r="20" spans="2:11">
      <c r="B20" s="45" t="s">
        <v>8</v>
      </c>
      <c r="C20" s="17" t="s">
        <v>9</v>
      </c>
      <c r="D20" s="17">
        <v>10</v>
      </c>
      <c r="E20" s="18" t="s">
        <v>10</v>
      </c>
      <c r="J20" s="71" t="s">
        <v>49</v>
      </c>
      <c r="K20" s="72">
        <f>M12/M9</f>
        <v>14.189189189189189</v>
      </c>
    </row>
    <row r="21" spans="2:11">
      <c r="B21" s="19"/>
      <c r="C21" s="20" t="s">
        <v>42</v>
      </c>
      <c r="D21" s="20">
        <v>1</v>
      </c>
      <c r="E21" s="21" t="s">
        <v>39</v>
      </c>
    </row>
    <row r="22" spans="2:11">
      <c r="B22" s="19"/>
      <c r="C22" s="20" t="s">
        <v>12</v>
      </c>
      <c r="D22" s="10">
        <v>1000000</v>
      </c>
      <c r="E22" s="21" t="s">
        <v>13</v>
      </c>
    </row>
    <row r="23" spans="2:11">
      <c r="B23" s="19"/>
      <c r="C23" s="20" t="s">
        <v>56</v>
      </c>
      <c r="D23" s="10">
        <v>360</v>
      </c>
      <c r="E23" s="21" t="s">
        <v>57</v>
      </c>
    </row>
    <row r="24" spans="2:11">
      <c r="B24" s="19"/>
      <c r="C24" s="20" t="s">
        <v>43</v>
      </c>
      <c r="D24" s="20">
        <v>9</v>
      </c>
      <c r="E24" s="21" t="s">
        <v>33</v>
      </c>
    </row>
    <row r="25" spans="2:11">
      <c r="B25" s="19"/>
      <c r="C25" s="20" t="s">
        <v>44</v>
      </c>
      <c r="D25" s="20">
        <v>15</v>
      </c>
      <c r="E25" s="21" t="s">
        <v>33</v>
      </c>
    </row>
    <row r="26" spans="2:11">
      <c r="B26" s="19"/>
      <c r="C26" s="10" t="s">
        <v>45</v>
      </c>
      <c r="D26" s="20">
        <v>30</v>
      </c>
      <c r="E26" s="21" t="s">
        <v>34</v>
      </c>
    </row>
    <row r="27" spans="2:11">
      <c r="B27" s="19"/>
      <c r="C27" s="20" t="s">
        <v>24</v>
      </c>
      <c r="D27" s="10">
        <v>3000000</v>
      </c>
      <c r="E27" s="21" t="s">
        <v>13</v>
      </c>
    </row>
    <row r="28" spans="2:11">
      <c r="B28" s="19"/>
      <c r="C28" s="20" t="s">
        <v>26</v>
      </c>
      <c r="D28" s="20">
        <v>10</v>
      </c>
      <c r="E28" s="21" t="s">
        <v>0</v>
      </c>
    </row>
    <row r="29" spans="2:11">
      <c r="B29" s="19"/>
      <c r="C29" s="20" t="s">
        <v>38</v>
      </c>
      <c r="D29" s="10">
        <f>(D27*D20)*2/3</f>
        <v>20000000</v>
      </c>
      <c r="E29" s="21" t="s">
        <v>13</v>
      </c>
    </row>
    <row r="30" spans="2:11">
      <c r="B30" s="19"/>
      <c r="C30" s="10" t="s">
        <v>31</v>
      </c>
      <c r="D30" s="27" t="s">
        <v>5</v>
      </c>
      <c r="E30" s="21"/>
    </row>
    <row r="31" spans="2:11">
      <c r="B31" s="23"/>
      <c r="C31" s="11" t="s">
        <v>3</v>
      </c>
      <c r="D31" s="11">
        <v>1000000</v>
      </c>
      <c r="E31" s="26" t="s">
        <v>13</v>
      </c>
    </row>
  </sheetData>
  <phoneticPr fontId="1"/>
  <pageMargins left="0.7" right="0.7" top="0.75" bottom="0.75" header="0.3" footer="0.3"/>
  <ignoredErrors>
    <ignoredError sqref="H15 M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第3回_PL説明用</vt:lpstr>
      <vt:lpstr>第5回_BS説明用</vt:lpstr>
      <vt:lpstr>第5回_シナリオ分析①</vt:lpstr>
      <vt:lpstr>第5回_シナリオ分析②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2006-09-13T11:12:02Z</dcterms:created>
  <dcterms:modified xsi:type="dcterms:W3CDTF">2024-03-25T05:05:57Z</dcterms:modified>
  <cp:category/>
  <cp:contentStatus/>
</cp:coreProperties>
</file>